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chnicAL\Desktop\ITA 2569\OIT69 สภ.เขาวิเศษ\O10 แผนและผลการใช้จ่ายงบประมาณ\"/>
    </mc:Choice>
  </mc:AlternateContent>
  <xr:revisionPtr revIDLastSave="0" documentId="13_ncr:1_{F526EEB2-1A60-444E-B13C-B04921C890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ผลใช้จ่ายงบ ต.ค.68- มี.ค.69" sheetId="5" r:id="rId1"/>
  </sheets>
  <definedNames>
    <definedName name="_xlnm.Print_Titles" localSheetId="0">' ผลใช้จ่ายงบ ต.ค.68- มี.ค.69'!$1:$5</definedName>
  </definedNames>
  <calcPr calcId="191029"/>
</workbook>
</file>

<file path=xl/calcChain.xml><?xml version="1.0" encoding="utf-8"?>
<calcChain xmlns="http://schemas.openxmlformats.org/spreadsheetml/2006/main">
  <c r="G45" i="5" l="1"/>
  <c r="E45" i="5"/>
  <c r="G21" i="5"/>
  <c r="G19" i="5"/>
  <c r="G14" i="5"/>
  <c r="G7" i="5"/>
  <c r="E20" i="5"/>
  <c r="E21" i="5"/>
  <c r="G31" i="5"/>
  <c r="G30" i="5"/>
  <c r="E28" i="5"/>
  <c r="E46" i="5"/>
  <c r="J37" i="5"/>
  <c r="E19" i="5"/>
  <c r="E13" i="5"/>
  <c r="G16" i="5" l="1"/>
  <c r="G36" i="5"/>
  <c r="E36" i="5"/>
  <c r="G33" i="5"/>
  <c r="G20" i="5"/>
  <c r="G8" i="5"/>
  <c r="E11" i="5"/>
  <c r="E30" i="5"/>
  <c r="E7" i="5"/>
  <c r="G13" i="5"/>
  <c r="E8" i="5"/>
  <c r="E27" i="5"/>
  <c r="J27" i="5" s="1"/>
  <c r="I37" i="5"/>
  <c r="J28" i="5"/>
  <c r="G35" i="5"/>
  <c r="J20" i="5" l="1"/>
  <c r="I20" i="5"/>
  <c r="G46" i="5" l="1"/>
  <c r="G42" i="5"/>
  <c r="G24" i="5"/>
  <c r="G17" i="5"/>
  <c r="G18" i="5"/>
  <c r="E42" i="5"/>
  <c r="E41" i="5"/>
  <c r="E40" i="5"/>
  <c r="I40" i="5" s="1"/>
  <c r="E31" i="5"/>
  <c r="E35" i="5"/>
  <c r="E34" i="5"/>
  <c r="I34" i="5" s="1"/>
  <c r="E33" i="5"/>
  <c r="J36" i="5"/>
  <c r="E17" i="5"/>
  <c r="G25" i="5"/>
  <c r="E25" i="5"/>
  <c r="I44" i="5"/>
  <c r="E24" i="5"/>
  <c r="E18" i="5"/>
  <c r="E16" i="5"/>
  <c r="E15" i="5"/>
  <c r="E14" i="5"/>
  <c r="G41" i="5"/>
  <c r="I41" i="5" s="1"/>
  <c r="J40" i="5" l="1"/>
  <c r="J41" i="5"/>
  <c r="E50" i="5"/>
  <c r="G50" i="5"/>
  <c r="I50" i="5" s="1"/>
  <c r="J16" i="5"/>
  <c r="J48" i="5"/>
  <c r="J46" i="5"/>
  <c r="I45" i="5"/>
  <c r="I46" i="5"/>
  <c r="J24" i="5"/>
  <c r="J25" i="5"/>
  <c r="J47" i="5" l="1"/>
  <c r="J45" i="5"/>
  <c r="I16" i="5"/>
  <c r="J44" i="5"/>
  <c r="J42" i="5"/>
  <c r="I36" i="5"/>
  <c r="J35" i="5"/>
  <c r="I35" i="5"/>
  <c r="J34" i="5"/>
  <c r="J33" i="5"/>
  <c r="I33" i="5"/>
  <c r="J31" i="5"/>
  <c r="I31" i="5"/>
  <c r="J30" i="5"/>
  <c r="I28" i="5"/>
  <c r="I27" i="5"/>
  <c r="P25" i="5"/>
  <c r="I25" i="5"/>
  <c r="I24" i="5"/>
  <c r="P22" i="5"/>
  <c r="J21" i="5"/>
  <c r="I21" i="5"/>
  <c r="J19" i="5"/>
  <c r="J18" i="5"/>
  <c r="I18" i="5"/>
  <c r="J17" i="5"/>
  <c r="I17" i="5"/>
  <c r="J15" i="5"/>
  <c r="J14" i="5"/>
  <c r="I14" i="5"/>
  <c r="J13" i="5"/>
  <c r="I13" i="5"/>
  <c r="J12" i="5"/>
  <c r="J11" i="5"/>
  <c r="I11" i="5"/>
  <c r="J10" i="5"/>
  <c r="I10" i="5"/>
  <c r="J9" i="5"/>
  <c r="J8" i="5"/>
  <c r="J7" i="5"/>
  <c r="I7" i="5"/>
  <c r="J50" i="5" l="1"/>
  <c r="I19" i="5"/>
  <c r="I30" i="5"/>
  <c r="I42" i="5"/>
  <c r="I8" i="5"/>
</calcChain>
</file>

<file path=xl/sharedStrings.xml><?xml version="1.0" encoding="utf-8"?>
<sst xmlns="http://schemas.openxmlformats.org/spreadsheetml/2006/main" count="82" uniqueCount="75">
  <si>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</si>
  <si>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</si>
  <si>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</si>
  <si>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</si>
  <si>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</si>
  <si>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</si>
  <si>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</si>
  <si>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รักษาความปลอดภัยในชีวิตและทรัพย์สินของประชาชน</t>
  </si>
  <si>
    <t>ดูแลความปลอดภัยและให้บริการแก่นักท่องเที่ยว</t>
  </si>
  <si>
    <t>การมีส่วนร่วมของประชาชนในการป้องกันอาชญากรรม</t>
  </si>
  <si>
    <t>อำนวยความยุติธรรม</t>
  </si>
  <si>
    <t>ป้องกันและปราบปรามยาเสพติด ตามแผนแม่บทด้านความมั่นคง</t>
  </si>
  <si>
    <t>ปราบปรามผู้มีอิทธิพลและเครือข่าย</t>
  </si>
  <si>
    <t xml:space="preserve">สร้างภูมิคุ้มกันกลุ่มเป้าหมายระดับโรงเรียน </t>
  </si>
  <si>
    <t>โครงการตำรวจประสานโรงเรียน (1 ตร. 1 รร.)</t>
  </si>
  <si>
    <t>โครงการปราบปรามการค้ายาเสพติด กิจกรรม การสกัดกั้น ปราบปราม การค้ายาเสพติด</t>
  </si>
  <si>
    <t xml:space="preserve"> 1.1 ค่า OT</t>
  </si>
  <si>
    <t xml:space="preserve"> 1.3 ค่าคุ้มครองพยาน</t>
  </si>
  <si>
    <t xml:space="preserve"> 1.4 ค่าตอบแทนนักจิตวิทยา</t>
  </si>
  <si>
    <t xml:space="preserve"> 1.5 ค่าชันสูตรพลิกศพ</t>
  </si>
  <si>
    <t xml:space="preserve"> 1.2 ค่าตอบแทนพยาน</t>
  </si>
  <si>
    <t xml:space="preserve"> 1.6 ค่าส่งหมายเรียก</t>
  </si>
  <si>
    <t xml:space="preserve"> 1.7 ค่าอาหารผู้ต้องหา</t>
  </si>
  <si>
    <t xml:space="preserve"> 1.8 ค่าเบี้ยเลี้ยง ที่พัก พาหนะ</t>
  </si>
  <si>
    <t xml:space="preserve"> 1.9 ค่าซ่อมแซมยานพาหนะ</t>
  </si>
  <si>
    <t xml:space="preserve"> 1.10 ค่าจ้างเหมาบริการ</t>
  </si>
  <si>
    <t xml:space="preserve"> 1.11 ค่าวัสดุสำนักงาน</t>
  </si>
  <si>
    <t xml:space="preserve"> 1.12 ค่าวัสดุจราจร</t>
  </si>
  <si>
    <t xml:space="preserve"> 1.13 ค่าสาธารณูปโภค</t>
  </si>
  <si>
    <t xml:space="preserve"> 1.14 ค่าน้ำมันเชื้อเพลิง</t>
  </si>
  <si>
    <t xml:space="preserve"> 1.15 ค่าน้ำมันเชื้อเพลิง-รถยนตู้และรถบรรทุกเอนกประสงค์</t>
  </si>
  <si>
    <t>รายงานผลการใช้จ่ายงบประมาณ สถานีตำรวจภูธรเขาวิเศษ</t>
  </si>
  <si>
    <t>ไม่มี</t>
  </si>
  <si>
    <t>โครงการการบังคับใช้กฎหมาย  อำนวยความยุติธรรม และบริการประชาชน (ค่าตอบแทน ใช้สอย วัสดุ)</t>
  </si>
  <si>
    <t>งบประมาณคงเหลือ</t>
  </si>
  <si>
    <t>ป้องกันปราบปรามและสืบสวน</t>
  </si>
  <si>
    <t>งานสอบสวน</t>
  </si>
  <si>
    <t>โครงการปฏิรูประบบงานตำรวจ กิจกรรมปฏิรูประบบ</t>
  </si>
  <si>
    <t>งานสอบสวน และการบังคับใช้กฎหมาย</t>
  </si>
  <si>
    <t>4.1 โครงการบริหารจัดการสะกัดกั้นยาเสพติด Hert Land</t>
  </si>
  <si>
    <t>3.1 ค่าน้ำมันเชื้อเพลิง</t>
  </si>
  <si>
    <t>3.2 ค่าเบี้ยประชุมชุดปฏิบัติการ</t>
  </si>
  <si>
    <t xml:space="preserve">กิจกรรมชุมชนสัมพันธ์และการมีส่วนร่วมของประชาชนในการป้องกันอาชญากรรม (ชมส. และ อส.ตร.) </t>
  </si>
  <si>
    <t>5.3 ค่าน้ำมันเชื้อเพลิง</t>
  </si>
  <si>
    <t>โครงการดำเนินงานตำบลยั่งยืน เพื่อแก้ไขปัญหายาเสพติดแบบครบวงจรตามยุทธศาสตร์ชาติ</t>
  </si>
  <si>
    <t>7.1 ค่าวัสดุสำนักงาน</t>
  </si>
  <si>
    <t>7.2 ค่าตอบแทนชุดปฏิบัติการ</t>
  </si>
  <si>
    <t>7.3 ค่าน้ำมันเชื้อเพลิง</t>
  </si>
  <si>
    <t>7.4 เบี้ยประชุมเชิงปฏิบัติการ</t>
  </si>
  <si>
    <t xml:space="preserve">7.5 ค่าประชุมผู้บำบัด </t>
  </si>
  <si>
    <t>ลำดับที่</t>
  </si>
  <si>
    <t xml:space="preserve">2.2 ปฏิรูปงานป้องกันปราบปราม </t>
  </si>
  <si>
    <t>5.2 ค่าตอบแทน อส.ตร.</t>
  </si>
  <si>
    <t>5.1 ค่าอาหารทำการนอกเวลา ชุด ชมส.</t>
  </si>
  <si>
    <t>5.4 ค่าเบี้ยประชุม กต.ตร.</t>
  </si>
  <si>
    <t>4.2 โครงการสลายเครือข่ายผู้อิทธิพล</t>
  </si>
  <si>
    <t>กิจกรรมการรักษาความปลอดภัยและให้บริการแก่นักท่องเที่ยว</t>
  </si>
  <si>
    <t>6.1 ค่าตอบแทนนอกเวลาราชการ (ชุดสายตรวจท่องเที่ยว)</t>
  </si>
  <si>
    <t>6.2 ค่าเบี้ยเลี้ยง ที่พักและยานพาหนะ (ค่าเบี้ยเลี้ยงตำรวจ)</t>
  </si>
  <si>
    <t>6.3 ค่าน้ำมันเชื้อเพลิง</t>
  </si>
  <si>
    <t xml:space="preserve"> </t>
  </si>
  <si>
    <t>โครงการสร้างเครือข่ายการมีส่วนร่วมของประชาชน</t>
  </si>
  <si>
    <t>2.1 ปฏิรูปงานสอบสวน (ค่าวัสดุ)</t>
  </si>
  <si>
    <t>การสร้างเครือข่ายการมีส่วนร่วมของภาคประชาชน</t>
  </si>
  <si>
    <t>แก้ไขปัญหายาเสพติดอย่างยั่งยืน โดยชุมชนบำบัด</t>
  </si>
  <si>
    <t>ประจำปีงบประมาณ พ.ศ.2569 รอบ 6 เดือนแรก (ตุลาคม 2568 - มีนาคม 2569)</t>
  </si>
  <si>
    <t xml:space="preserve">พ.ต.ท.หญิง  </t>
  </si>
  <si>
    <t xml:space="preserve"> (วาสนา  รอดกูล)</t>
  </si>
  <si>
    <t>สว.อก.สภ.เขาวิเศษ</t>
  </si>
  <si>
    <t>ผู้รายงาน</t>
  </si>
  <si>
    <t>พ.ต.อ.</t>
  </si>
  <si>
    <t>(อิศราพงศ์  จินา)</t>
  </si>
  <si>
    <t>ผกก.สภ.เขาวิเศษ</t>
  </si>
  <si>
    <t>ทราบ</t>
  </si>
  <si>
    <t xml:space="preserve"> 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</si>
</sst>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  <charset val="22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b/>
      <sz val="14"/>
      <name val="TH SarabunPSK"/>
      <family val="2"/>
    </font>
    <font>
      <b/>
      <sz val="11"/>
      <color rgb="FF00B050"/>
      <name val="TH SarabunPSK"/>
      <family val="2"/>
    </font>
    <font>
      <sz val="11"/>
      <name val="TH SarabunPSK"/>
      <family val="2"/>
      <charset val="222"/>
    </font>
    <font>
      <sz val="16"/>
      <name val="TH SarabunPSK"/>
      <family val="2"/>
      <charset val="222"/>
    </font>
    <font>
      <b/>
      <sz val="14"/>
      <color rgb="FFC00000"/>
      <name val="TH SarabunPSK"/>
      <family val="2"/>
    </font>
    <font>
      <sz val="11"/>
      <color rgb="FFC00000"/>
      <name val="TH SarabunPSK"/>
      <family val="2"/>
    </font>
    <font>
      <sz val="14"/>
      <color rgb="FFC00000"/>
      <name val="TH SarabunPSK"/>
      <family val="2"/>
    </font>
    <font>
      <b/>
      <sz val="14"/>
      <color rgb="FF00B050"/>
      <name val="TH SarabunPSK"/>
      <family val="2"/>
    </font>
    <font>
      <sz val="18"/>
      <color rgb="FFFF0000"/>
      <name val="TH SarabunPSK"/>
      <family val="2"/>
    </font>
    <font>
      <sz val="14"/>
      <color rgb="FF00B050"/>
      <name val="TH SarabunPSK"/>
      <family val="2"/>
      <charset val="222"/>
    </font>
    <font>
      <b/>
      <sz val="14"/>
      <color rgb="FFFF0000"/>
      <name val="TH SarabunPSK"/>
      <family val="2"/>
    </font>
    <font>
      <b/>
      <sz val="14"/>
      <color rgb="FF0070C0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4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top"/>
    </xf>
    <xf numFmtId="43" fontId="1" fillId="0" borderId="0" xfId="1" applyFont="1"/>
    <xf numFmtId="0" fontId="7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3" xfId="0" applyFont="1" applyBorder="1"/>
    <xf numFmtId="0" fontId="10" fillId="0" borderId="1" xfId="0" applyFont="1" applyBorder="1"/>
    <xf numFmtId="0" fontId="11" fillId="0" borderId="1" xfId="0" applyFont="1" applyBorder="1"/>
    <xf numFmtId="0" fontId="12" fillId="0" borderId="0" xfId="0" applyFont="1"/>
    <xf numFmtId="43" fontId="1" fillId="0" borderId="0" xfId="0" applyNumberFormat="1" applyFont="1"/>
    <xf numFmtId="43" fontId="14" fillId="0" borderId="0" xfId="0" applyNumberFormat="1" applyFont="1"/>
    <xf numFmtId="0" fontId="15" fillId="0" borderId="0" xfId="0" applyFont="1"/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0" fillId="0" borderId="3" xfId="0" applyFont="1" applyBorder="1"/>
    <xf numFmtId="43" fontId="15" fillId="0" borderId="0" xfId="0" applyNumberFormat="1" applyFont="1"/>
    <xf numFmtId="0" fontId="10" fillId="0" borderId="1" xfId="0" applyFont="1" applyBorder="1" applyAlignment="1">
      <alignment vertical="top"/>
    </xf>
    <xf numFmtId="0" fontId="16" fillId="0" borderId="1" xfId="0" applyFont="1" applyBorder="1"/>
    <xf numFmtId="0" fontId="3" fillId="0" borderId="3" xfId="0" applyFont="1" applyBorder="1"/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vertical="top" wrapText="1"/>
    </xf>
    <xf numFmtId="0" fontId="16" fillId="3" borderId="3" xfId="0" applyFont="1" applyFill="1" applyBorder="1" applyAlignment="1">
      <alignment vertical="top"/>
    </xf>
    <xf numFmtId="0" fontId="15" fillId="3" borderId="0" xfId="0" applyFont="1" applyFill="1"/>
    <xf numFmtId="0" fontId="10" fillId="3" borderId="4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21" fillId="0" borderId="0" xfId="0" applyFont="1"/>
    <xf numFmtId="43" fontId="21" fillId="0" borderId="0" xfId="0" applyNumberFormat="1" applyFont="1"/>
    <xf numFmtId="0" fontId="11" fillId="0" borderId="3" xfId="0" quotePrefix="1" applyFont="1" applyBorder="1" applyAlignment="1">
      <alignment horizontal="center" vertical="center"/>
    </xf>
    <xf numFmtId="43" fontId="12" fillId="0" borderId="0" xfId="0" applyNumberFormat="1" applyFont="1"/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vertical="top" shrinkToFit="1"/>
    </xf>
    <xf numFmtId="0" fontId="3" fillId="4" borderId="8" xfId="0" applyFont="1" applyFill="1" applyBorder="1"/>
    <xf numFmtId="0" fontId="2" fillId="4" borderId="6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vertical="top"/>
    </xf>
    <xf numFmtId="0" fontId="2" fillId="4" borderId="9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19" fillId="4" borderId="9" xfId="0" applyFont="1" applyFill="1" applyBorder="1" applyAlignment="1">
      <alignment horizontal="center"/>
    </xf>
    <xf numFmtId="0" fontId="19" fillId="4" borderId="10" xfId="0" applyFont="1" applyFill="1" applyBorder="1" applyAlignment="1">
      <alignment horizontal="center"/>
    </xf>
    <xf numFmtId="0" fontId="3" fillId="4" borderId="10" xfId="0" applyFont="1" applyFill="1" applyBorder="1"/>
    <xf numFmtId="0" fontId="2" fillId="4" borderId="1" xfId="0" applyFont="1" applyFill="1" applyBorder="1" applyAlignment="1">
      <alignment vertical="top"/>
    </xf>
    <xf numFmtId="0" fontId="3" fillId="4" borderId="3" xfId="0" applyFont="1" applyFill="1" applyBorder="1"/>
    <xf numFmtId="0" fontId="10" fillId="4" borderId="1" xfId="0" applyFont="1" applyFill="1" applyBorder="1" applyAlignment="1">
      <alignment horizontal="center" vertical="top"/>
    </xf>
    <xf numFmtId="0" fontId="10" fillId="4" borderId="1" xfId="0" applyFont="1" applyFill="1" applyBorder="1" applyAlignment="1">
      <alignment vertical="top" wrapText="1"/>
    </xf>
    <xf numFmtId="0" fontId="16" fillId="4" borderId="3" xfId="0" applyFont="1" applyFill="1" applyBorder="1" applyAlignment="1">
      <alignment vertical="top"/>
    </xf>
    <xf numFmtId="0" fontId="16" fillId="4" borderId="3" xfId="0" applyFont="1" applyFill="1" applyBorder="1"/>
    <xf numFmtId="43" fontId="10" fillId="4" borderId="4" xfId="1" applyFont="1" applyFill="1" applyBorder="1" applyAlignment="1">
      <alignment horizontal="center"/>
    </xf>
    <xf numFmtId="43" fontId="10" fillId="4" borderId="3" xfId="1" applyFont="1" applyFill="1" applyBorder="1" applyAlignment="1">
      <alignment horizontal="center"/>
    </xf>
    <xf numFmtId="43" fontId="17" fillId="4" borderId="4" xfId="1" applyFont="1" applyFill="1" applyBorder="1" applyAlignment="1">
      <alignment horizontal="center"/>
    </xf>
    <xf numFmtId="43" fontId="17" fillId="4" borderId="3" xfId="1" applyFont="1" applyFill="1" applyBorder="1" applyAlignment="1">
      <alignment horizontal="center"/>
    </xf>
    <xf numFmtId="43" fontId="13" fillId="5" borderId="1" xfId="0" applyNumberFormat="1" applyFont="1" applyFill="1" applyBorder="1"/>
    <xf numFmtId="0" fontId="6" fillId="5" borderId="1" xfId="0" applyFont="1" applyFill="1" applyBorder="1"/>
    <xf numFmtId="4" fontId="18" fillId="0" borderId="3" xfId="0" applyNumberFormat="1" applyFont="1" applyBorder="1"/>
    <xf numFmtId="16" fontId="15" fillId="0" borderId="0" xfId="0" applyNumberFormat="1" applyFont="1"/>
    <xf numFmtId="0" fontId="10" fillId="6" borderId="1" xfId="0" applyFont="1" applyFill="1" applyBorder="1" applyAlignment="1">
      <alignment horizontal="center" vertical="top"/>
    </xf>
    <xf numFmtId="0" fontId="10" fillId="6" borderId="1" xfId="0" applyFont="1" applyFill="1" applyBorder="1" applyAlignment="1">
      <alignment vertical="top" wrapText="1"/>
    </xf>
    <xf numFmtId="0" fontId="10" fillId="6" borderId="4" xfId="0" applyFont="1" applyFill="1" applyBorder="1" applyAlignment="1">
      <alignment horizontal="center" vertical="top" wrapText="1"/>
    </xf>
    <xf numFmtId="0" fontId="10" fillId="6" borderId="3" xfId="0" applyFont="1" applyFill="1" applyBorder="1" applyAlignment="1">
      <alignment horizontal="center" vertical="top" wrapText="1"/>
    </xf>
    <xf numFmtId="43" fontId="22" fillId="6" borderId="4" xfId="1" applyFont="1" applyFill="1" applyBorder="1" applyAlignment="1">
      <alignment horizontal="center"/>
    </xf>
    <xf numFmtId="43" fontId="22" fillId="6" borderId="3" xfId="1" applyFont="1" applyFill="1" applyBorder="1" applyAlignment="1">
      <alignment horizontal="center"/>
    </xf>
    <xf numFmtId="43" fontId="17" fillId="6" borderId="4" xfId="1" applyFont="1" applyFill="1" applyBorder="1" applyAlignment="1">
      <alignment horizontal="center"/>
    </xf>
    <xf numFmtId="43" fontId="17" fillId="6" borderId="3" xfId="1" applyFont="1" applyFill="1" applyBorder="1" applyAlignment="1">
      <alignment horizontal="center"/>
    </xf>
    <xf numFmtId="0" fontId="10" fillId="6" borderId="3" xfId="0" applyFont="1" applyFill="1" applyBorder="1"/>
    <xf numFmtId="0" fontId="2" fillId="0" borderId="0" xfId="0" applyFont="1"/>
    <xf numFmtId="4" fontId="18" fillId="0" borderId="0" xfId="0" applyNumberFormat="1" applyFont="1"/>
    <xf numFmtId="0" fontId="11" fillId="0" borderId="11" xfId="0" applyFont="1" applyBorder="1"/>
    <xf numFmtId="17" fontId="15" fillId="0" borderId="0" xfId="0" applyNumberFormat="1" applyFont="1"/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43" fontId="17" fillId="0" borderId="4" xfId="1" applyFont="1" applyFill="1" applyBorder="1" applyAlignment="1">
      <alignment horizontal="center"/>
    </xf>
    <xf numFmtId="43" fontId="17" fillId="0" borderId="3" xfId="1" applyFont="1" applyFill="1" applyBorder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left" vertical="top" wrapText="1"/>
    </xf>
    <xf numFmtId="43" fontId="10" fillId="0" borderId="4" xfId="1" applyFont="1" applyFill="1" applyBorder="1" applyAlignment="1">
      <alignment horizontal="center"/>
    </xf>
    <xf numFmtId="43" fontId="10" fillId="0" borderId="3" xfId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43" fontId="6" fillId="5" borderId="4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 vertical="top" wrapText="1"/>
    </xf>
    <xf numFmtId="0" fontId="10" fillId="6" borderId="3" xfId="0" applyFont="1" applyFill="1" applyBorder="1" applyAlignment="1">
      <alignment horizontal="center" vertical="top" wrapText="1"/>
    </xf>
    <xf numFmtId="43" fontId="17" fillId="0" borderId="4" xfId="1" applyFont="1" applyBorder="1" applyAlignment="1">
      <alignment horizontal="right"/>
    </xf>
    <xf numFmtId="43" fontId="17" fillId="0" borderId="3" xfId="1" applyFont="1" applyBorder="1" applyAlignment="1">
      <alignment horizontal="right"/>
    </xf>
    <xf numFmtId="0" fontId="10" fillId="4" borderId="1" xfId="0" applyFont="1" applyFill="1" applyBorder="1" applyAlignment="1">
      <alignment horizontal="left" wrapText="1"/>
    </xf>
    <xf numFmtId="0" fontId="19" fillId="4" borderId="4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43" fontId="2" fillId="4" borderId="4" xfId="1" applyFont="1" applyFill="1" applyBorder="1" applyAlignment="1">
      <alignment horizontal="center" vertical="top"/>
    </xf>
    <xf numFmtId="43" fontId="2" fillId="4" borderId="3" xfId="1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43" fontId="20" fillId="0" borderId="4" xfId="1" applyFont="1" applyFill="1" applyBorder="1" applyAlignment="1">
      <alignment horizontal="center"/>
    </xf>
    <xf numFmtId="43" fontId="20" fillId="0" borderId="3" xfId="1" applyFont="1" applyFill="1" applyBorder="1" applyAlignment="1">
      <alignment horizontal="center"/>
    </xf>
    <xf numFmtId="43" fontId="20" fillId="0" borderId="4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 wrapText="1"/>
    </xf>
    <xf numFmtId="43" fontId="20" fillId="0" borderId="4" xfId="1" applyFont="1" applyFill="1" applyBorder="1" applyAlignment="1">
      <alignment horizontal="right"/>
    </xf>
    <xf numFmtId="43" fontId="20" fillId="0" borderId="3" xfId="1" applyFont="1" applyFill="1" applyBorder="1" applyAlignment="1">
      <alignment horizontal="right"/>
    </xf>
    <xf numFmtId="43" fontId="20" fillId="0" borderId="4" xfId="1" applyFont="1" applyFill="1" applyBorder="1" applyAlignment="1">
      <alignment horizontal="center" vertical="top" wrapText="1"/>
    </xf>
    <xf numFmtId="43" fontId="20" fillId="0" borderId="3" xfId="1" applyFont="1" applyFill="1" applyBorder="1" applyAlignment="1">
      <alignment horizontal="center" vertical="top" wrapText="1"/>
    </xf>
    <xf numFmtId="43" fontId="20" fillId="0" borderId="4" xfId="1" applyFont="1" applyFill="1" applyBorder="1" applyAlignment="1">
      <alignment horizontal="center" vertical="top"/>
    </xf>
    <xf numFmtId="43" fontId="20" fillId="0" borderId="3" xfId="1" applyFont="1" applyFill="1" applyBorder="1" applyAlignment="1">
      <alignment horizontal="center" vertical="top"/>
    </xf>
    <xf numFmtId="43" fontId="17" fillId="6" borderId="4" xfId="1" applyFont="1" applyFill="1" applyBorder="1" applyAlignment="1">
      <alignment horizontal="center"/>
    </xf>
    <xf numFmtId="43" fontId="17" fillId="6" borderId="3" xfId="1" applyFont="1" applyFill="1" applyBorder="1" applyAlignment="1">
      <alignment horizontal="center"/>
    </xf>
    <xf numFmtId="43" fontId="20" fillId="6" borderId="4" xfId="1" applyFont="1" applyFill="1" applyBorder="1" applyAlignment="1">
      <alignment horizontal="center"/>
    </xf>
    <xf numFmtId="43" fontId="20" fillId="6" borderId="3" xfId="1" applyFont="1" applyFill="1" applyBorder="1" applyAlignment="1">
      <alignment horizontal="center"/>
    </xf>
    <xf numFmtId="43" fontId="23" fillId="0" borderId="4" xfId="1" applyFont="1" applyFill="1" applyBorder="1" applyAlignment="1">
      <alignment horizontal="center"/>
    </xf>
    <xf numFmtId="43" fontId="23" fillId="0" borderId="3" xfId="1" applyFont="1" applyFill="1" applyBorder="1" applyAlignment="1">
      <alignment horizontal="center"/>
    </xf>
    <xf numFmtId="43" fontId="17" fillId="0" borderId="4" xfId="1" applyFont="1" applyFill="1" applyBorder="1" applyAlignment="1">
      <alignment horizontal="right"/>
    </xf>
    <xf numFmtId="43" fontId="17" fillId="0" borderId="3" xfId="1" applyFont="1" applyFill="1" applyBorder="1" applyAlignment="1">
      <alignment horizontal="right"/>
    </xf>
    <xf numFmtId="43" fontId="17" fillId="0" borderId="4" xfId="1" applyFont="1" applyFill="1" applyBorder="1" applyAlignment="1">
      <alignment horizontal="right" vertical="top"/>
    </xf>
    <xf numFmtId="43" fontId="17" fillId="0" borderId="3" xfId="1" applyFont="1" applyFill="1" applyBorder="1" applyAlignment="1">
      <alignment horizontal="right" vertical="top"/>
    </xf>
    <xf numFmtId="0" fontId="11" fillId="0" borderId="1" xfId="0" applyFont="1" applyFill="1" applyBorder="1"/>
    <xf numFmtId="43" fontId="13" fillId="0" borderId="1" xfId="1" applyFont="1" applyFill="1" applyBorder="1" applyAlignment="1"/>
    <xf numFmtId="43" fontId="13" fillId="0" borderId="3" xfId="1" applyFont="1" applyFill="1" applyBorder="1" applyAlignment="1"/>
    <xf numFmtId="0" fontId="13" fillId="4" borderId="8" xfId="0" applyFont="1" applyFill="1" applyBorder="1"/>
    <xf numFmtId="0" fontId="13" fillId="4" borderId="10" xfId="0" applyFont="1" applyFill="1" applyBorder="1"/>
    <xf numFmtId="0" fontId="13" fillId="4" borderId="3" xfId="0" applyFont="1" applyFill="1" applyBorder="1"/>
    <xf numFmtId="43" fontId="13" fillId="0" borderId="3" xfId="1" applyFont="1" applyFill="1" applyBorder="1" applyAlignment="1">
      <alignment vertical="top"/>
    </xf>
    <xf numFmtId="43" fontId="13" fillId="6" borderId="3" xfId="1" applyFont="1" applyFill="1" applyBorder="1" applyAlignment="1"/>
    <xf numFmtId="43" fontId="13" fillId="4" borderId="3" xfId="1" applyFont="1" applyFill="1" applyBorder="1" applyAlignment="1">
      <alignment vertical="top"/>
    </xf>
    <xf numFmtId="43" fontId="13" fillId="0" borderId="3" xfId="0" applyNumberFormat="1" applyFont="1" applyBorder="1"/>
    <xf numFmtId="43" fontId="24" fillId="0" borderId="1" xfId="1" applyFont="1" applyFill="1" applyBorder="1" applyAlignment="1"/>
    <xf numFmtId="0" fontId="24" fillId="4" borderId="5" xfId="0" applyFont="1" applyFill="1" applyBorder="1"/>
    <xf numFmtId="0" fontId="24" fillId="4" borderId="6" xfId="0" applyFont="1" applyFill="1" applyBorder="1"/>
    <xf numFmtId="43" fontId="24" fillId="0" borderId="1" xfId="1" applyFont="1" applyBorder="1" applyAlignment="1"/>
    <xf numFmtId="0" fontId="24" fillId="4" borderId="1" xfId="0" applyFont="1" applyFill="1" applyBorder="1"/>
    <xf numFmtId="43" fontId="24" fillId="0" borderId="1" xfId="1" applyFont="1" applyFill="1" applyBorder="1" applyAlignment="1">
      <alignment vertical="top"/>
    </xf>
    <xf numFmtId="43" fontId="24" fillId="6" borderId="1" xfId="1" applyFont="1" applyFill="1" applyBorder="1" applyAlignment="1"/>
    <xf numFmtId="43" fontId="24" fillId="4" borderId="1" xfId="1" applyFont="1" applyFill="1" applyBorder="1" applyAlignment="1">
      <alignment vertical="top"/>
    </xf>
    <xf numFmtId="43" fontId="24" fillId="0" borderId="1" xfId="1" applyFont="1" applyFill="1" applyBorder="1" applyAlignment="1">
      <alignment horizontal="right"/>
    </xf>
    <xf numFmtId="43" fontId="24" fillId="5" borderId="1" xfId="0" applyNumberFormat="1" applyFont="1" applyFill="1" applyBorder="1"/>
    <xf numFmtId="0" fontId="25" fillId="0" borderId="0" xfId="0" applyFont="1"/>
    <xf numFmtId="43" fontId="26" fillId="0" borderId="0" xfId="1" applyFont="1"/>
    <xf numFmtId="0" fontId="26" fillId="0" borderId="0" xfId="0" applyFont="1"/>
    <xf numFmtId="0" fontId="25" fillId="0" borderId="0" xfId="0" applyFont="1" applyAlignment="1"/>
    <xf numFmtId="0" fontId="26" fillId="0" borderId="0" xfId="0" applyFont="1" applyAlignment="1">
      <alignment vertical="top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1099705</xdr:colOff>
      <xdr:row>52</xdr:row>
      <xdr:rowOff>37079</xdr:rowOff>
    </xdr:from>
    <xdr:to>
      <xdr:col>1</xdr:col>
      <xdr:colOff>1818411</xdr:colOff>
      <xdr:row>53</xdr:row>
      <xdr:rowOff>246323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179A434-7566-93F0-6582-6FE6CFE5E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978" y="15900534"/>
          <a:ext cx="718706" cy="60756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5</xdr:col>
      <xdr:colOff>580159</xdr:colOff>
      <xdr:row>51</xdr:row>
      <xdr:rowOff>122050</xdr:rowOff>
    </xdr:from>
    <xdr:to>
      <xdr:col>7</xdr:col>
      <xdr:colOff>173182</xdr:colOff>
      <xdr:row>53</xdr:row>
      <xdr:rowOff>74235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1A4B9767-9658-293C-2853-D36D26098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409" y="15985505"/>
          <a:ext cx="926523" cy="748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C6EE-B69F-4319-94E3-E5F375D00397}">
  <dimension ref="A1:P59"/>
  <sheetViews>
    <sheetView tabSelected="1" topLeftCell="A16" zoomScale="110" zoomScaleNormal="110" workbookViewId="0">
      <selection activeCell="I50" sqref="I50"/>
    </sheetView>
  </sheetViews>
  <sheetFormatPr defaultRowHeight="15" x14ac:dyDescent="0.25"/>
  <cols>
    <col min="1" max="1" width="5.875" style="4" customWidth="1"/>
    <col min="2" max="2" width="37.625" style="4" customWidth="1"/>
    <col min="3" max="3" width="21.875" style="4" customWidth="1"/>
    <col min="4" max="4" width="11.125" style="7" customWidth="1"/>
    <col min="5" max="5" width="9.625" style="4" customWidth="1"/>
    <col min="6" max="6" width="9.25" style="4" customWidth="1"/>
    <col min="7" max="7" width="8.25" style="4" customWidth="1"/>
    <col min="8" max="8" width="9.875" style="4" customWidth="1"/>
    <col min="9" max="10" width="14" style="9" customWidth="1"/>
    <col min="11" max="11" width="21.875" style="4" customWidth="1"/>
    <col min="12" max="12" width="9" style="4"/>
    <col min="13" max="13" width="10.125" style="4" bestFit="1" customWidth="1"/>
    <col min="14" max="16384" width="9" style="4"/>
  </cols>
  <sheetData>
    <row r="1" spans="1:14" ht="24.95" customHeight="1" x14ac:dyDescent="0.25">
      <c r="A1" s="119" t="s">
        <v>31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4" ht="24.95" customHeight="1" x14ac:dyDescent="0.25">
      <c r="A2" s="119" t="s">
        <v>65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4" ht="24.95" customHeight="1" x14ac:dyDescent="0.25">
      <c r="A3" s="120" t="s">
        <v>74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4" ht="23.1" customHeight="1" x14ac:dyDescent="0.25">
      <c r="A4" s="121" t="s">
        <v>50</v>
      </c>
      <c r="B4" s="121" t="s">
        <v>6</v>
      </c>
      <c r="C4" s="123" t="s">
        <v>1</v>
      </c>
      <c r="D4" s="124"/>
      <c r="E4" s="123" t="s">
        <v>2</v>
      </c>
      <c r="F4" s="124"/>
      <c r="G4" s="123" t="s">
        <v>3</v>
      </c>
      <c r="H4" s="124"/>
      <c r="I4" s="125" t="s">
        <v>4</v>
      </c>
      <c r="J4" s="125" t="s">
        <v>34</v>
      </c>
      <c r="K4" s="111" t="s">
        <v>5</v>
      </c>
    </row>
    <row r="5" spans="1:14" ht="24" customHeight="1" x14ac:dyDescent="0.25">
      <c r="A5" s="122"/>
      <c r="B5" s="122"/>
      <c r="C5" s="123"/>
      <c r="D5" s="124"/>
      <c r="E5" s="123"/>
      <c r="F5" s="124"/>
      <c r="G5" s="123"/>
      <c r="H5" s="124"/>
      <c r="I5" s="126"/>
      <c r="J5" s="126"/>
      <c r="K5" s="112"/>
    </row>
    <row r="6" spans="1:14" ht="41.25" customHeight="1" x14ac:dyDescent="0.35">
      <c r="A6" s="34">
        <v>1</v>
      </c>
      <c r="B6" s="35" t="s">
        <v>33</v>
      </c>
      <c r="C6" s="113" t="s">
        <v>7</v>
      </c>
      <c r="D6" s="114"/>
      <c r="E6" s="115"/>
      <c r="F6" s="116"/>
      <c r="G6" s="117"/>
      <c r="H6" s="118"/>
      <c r="I6" s="36"/>
      <c r="J6" s="37"/>
      <c r="K6" s="37" t="s">
        <v>32</v>
      </c>
    </row>
    <row r="7" spans="1:14" ht="21.95" customHeight="1" x14ac:dyDescent="0.35">
      <c r="A7" s="6"/>
      <c r="B7" s="1" t="s">
        <v>16</v>
      </c>
      <c r="C7" s="100"/>
      <c r="D7" s="101"/>
      <c r="E7" s="127">
        <f>258000+129000-9000</f>
        <v>378000</v>
      </c>
      <c r="F7" s="128"/>
      <c r="G7" s="79">
        <f>54080+42720+48180+50780+39920+51920</f>
        <v>287600</v>
      </c>
      <c r="H7" s="80"/>
      <c r="I7" s="157">
        <f>G7*100/E7</f>
        <v>76.084656084656089</v>
      </c>
      <c r="J7" s="149">
        <f t="shared" ref="J7:J21" si="0">E7-G7</f>
        <v>90400</v>
      </c>
      <c r="K7" s="10"/>
      <c r="N7" s="30"/>
    </row>
    <row r="8" spans="1:14" ht="21.95" customHeight="1" x14ac:dyDescent="0.3">
      <c r="A8" s="6"/>
      <c r="B8" s="1" t="s">
        <v>20</v>
      </c>
      <c r="C8" s="100"/>
      <c r="D8" s="101"/>
      <c r="E8" s="127">
        <f>7900</f>
        <v>7900</v>
      </c>
      <c r="F8" s="128"/>
      <c r="G8" s="79">
        <f>1800+6600</f>
        <v>8400</v>
      </c>
      <c r="H8" s="80"/>
      <c r="I8" s="157">
        <f>G8*100/E8</f>
        <v>106.32911392405063</v>
      </c>
      <c r="J8" s="149">
        <f t="shared" si="0"/>
        <v>-500</v>
      </c>
      <c r="K8" s="10"/>
      <c r="L8" s="73"/>
    </row>
    <row r="9" spans="1:14" ht="21.95" customHeight="1" x14ac:dyDescent="0.3">
      <c r="A9" s="6"/>
      <c r="B9" s="1" t="s">
        <v>17</v>
      </c>
      <c r="C9" s="100" t="s">
        <v>60</v>
      </c>
      <c r="D9" s="101"/>
      <c r="E9" s="127">
        <v>0</v>
      </c>
      <c r="F9" s="128"/>
      <c r="G9" s="79"/>
      <c r="H9" s="80"/>
      <c r="I9" s="157">
        <v>0</v>
      </c>
      <c r="J9" s="149">
        <f t="shared" si="0"/>
        <v>0</v>
      </c>
      <c r="K9" s="10"/>
    </row>
    <row r="10" spans="1:14" ht="21.95" customHeight="1" x14ac:dyDescent="0.3">
      <c r="A10" s="6"/>
      <c r="B10" s="1" t="s">
        <v>18</v>
      </c>
      <c r="C10" s="100"/>
      <c r="D10" s="101"/>
      <c r="E10" s="127">
        <v>1400</v>
      </c>
      <c r="F10" s="128"/>
      <c r="G10" s="143"/>
      <c r="H10" s="144"/>
      <c r="I10" s="157">
        <f>G10*100/E10</f>
        <v>0</v>
      </c>
      <c r="J10" s="149">
        <f t="shared" si="0"/>
        <v>1400</v>
      </c>
      <c r="K10" s="10"/>
    </row>
    <row r="11" spans="1:14" ht="21.95" customHeight="1" x14ac:dyDescent="0.3">
      <c r="A11" s="6"/>
      <c r="B11" s="1" t="s">
        <v>19</v>
      </c>
      <c r="C11" s="100"/>
      <c r="D11" s="101"/>
      <c r="E11" s="127">
        <f>11300</f>
        <v>11300</v>
      </c>
      <c r="F11" s="128"/>
      <c r="G11" s="143"/>
      <c r="H11" s="144"/>
      <c r="I11" s="157">
        <f>G11*100/E11</f>
        <v>0</v>
      </c>
      <c r="J11" s="149">
        <f t="shared" si="0"/>
        <v>11300</v>
      </c>
      <c r="K11" s="10"/>
    </row>
    <row r="12" spans="1:14" ht="21.95" customHeight="1" x14ac:dyDescent="0.3">
      <c r="A12" s="6"/>
      <c r="B12" s="1" t="s">
        <v>21</v>
      </c>
      <c r="C12" s="100"/>
      <c r="D12" s="101"/>
      <c r="E12" s="127">
        <v>1300</v>
      </c>
      <c r="F12" s="128"/>
      <c r="G12" s="143"/>
      <c r="H12" s="144"/>
      <c r="I12" s="157">
        <v>0</v>
      </c>
      <c r="J12" s="149">
        <f t="shared" si="0"/>
        <v>1300</v>
      </c>
      <c r="K12" s="10"/>
    </row>
    <row r="13" spans="1:14" s="5" customFormat="1" ht="21.95" customHeight="1" x14ac:dyDescent="0.35">
      <c r="A13" s="6"/>
      <c r="B13" s="1" t="s">
        <v>22</v>
      </c>
      <c r="C13" s="100"/>
      <c r="D13" s="101"/>
      <c r="E13" s="127">
        <f>9100+4500</f>
        <v>13600</v>
      </c>
      <c r="F13" s="128"/>
      <c r="G13" s="79">
        <f>2300+10000-10000</f>
        <v>2300</v>
      </c>
      <c r="H13" s="80"/>
      <c r="I13" s="157">
        <f>G13*100/E13</f>
        <v>16.911764705882351</v>
      </c>
      <c r="J13" s="149">
        <f t="shared" si="0"/>
        <v>11300</v>
      </c>
      <c r="K13" s="10"/>
    </row>
    <row r="14" spans="1:14" ht="21.95" customHeight="1" x14ac:dyDescent="0.3">
      <c r="A14" s="6"/>
      <c r="B14" s="1" t="s">
        <v>23</v>
      </c>
      <c r="C14" s="100"/>
      <c r="D14" s="101"/>
      <c r="E14" s="127">
        <f>51600+25800</f>
        <v>77400</v>
      </c>
      <c r="F14" s="128"/>
      <c r="G14" s="143">
        <f>2880+1616</f>
        <v>4496</v>
      </c>
      <c r="H14" s="144"/>
      <c r="I14" s="157">
        <f>G14*100/E14</f>
        <v>5.8087855297157622</v>
      </c>
      <c r="J14" s="149">
        <f t="shared" si="0"/>
        <v>72904</v>
      </c>
      <c r="K14" s="32"/>
    </row>
    <row r="15" spans="1:14" ht="21.95" customHeight="1" x14ac:dyDescent="0.3">
      <c r="A15" s="6"/>
      <c r="B15" s="1" t="s">
        <v>24</v>
      </c>
      <c r="C15" s="100"/>
      <c r="D15" s="101"/>
      <c r="E15" s="127">
        <f>5500+2800</f>
        <v>8300</v>
      </c>
      <c r="F15" s="128"/>
      <c r="G15" s="143">
        <v>8300</v>
      </c>
      <c r="H15" s="144"/>
      <c r="I15" s="157">
        <v>0</v>
      </c>
      <c r="J15" s="149">
        <f t="shared" si="0"/>
        <v>0</v>
      </c>
      <c r="K15" s="10"/>
    </row>
    <row r="16" spans="1:14" ht="21.95" customHeight="1" x14ac:dyDescent="0.3">
      <c r="A16" s="6"/>
      <c r="B16" s="1" t="s">
        <v>25</v>
      </c>
      <c r="C16" s="100"/>
      <c r="D16" s="101"/>
      <c r="E16" s="127">
        <f>12200+6100</f>
        <v>18300</v>
      </c>
      <c r="F16" s="128"/>
      <c r="G16" s="143">
        <f>1500+10000+700</f>
        <v>12200</v>
      </c>
      <c r="H16" s="144"/>
      <c r="I16" s="157">
        <f t="shared" ref="I16:I21" si="1">G16*100/E16</f>
        <v>66.666666666666671</v>
      </c>
      <c r="J16" s="149">
        <f t="shared" si="0"/>
        <v>6100</v>
      </c>
      <c r="K16" s="10"/>
    </row>
    <row r="17" spans="1:16" ht="21.95" customHeight="1" x14ac:dyDescent="0.3">
      <c r="A17" s="6"/>
      <c r="B17" s="1" t="s">
        <v>26</v>
      </c>
      <c r="C17" s="100"/>
      <c r="D17" s="101"/>
      <c r="E17" s="127">
        <f>2100+20000+1100</f>
        <v>23200</v>
      </c>
      <c r="F17" s="128"/>
      <c r="G17" s="143">
        <f>2100+20000+1100</f>
        <v>23200</v>
      </c>
      <c r="H17" s="144"/>
      <c r="I17" s="157">
        <f t="shared" si="1"/>
        <v>100</v>
      </c>
      <c r="J17" s="149">
        <f t="shared" si="0"/>
        <v>0</v>
      </c>
      <c r="K17" s="62"/>
      <c r="L17" s="74"/>
    </row>
    <row r="18" spans="1:16" ht="21.95" customHeight="1" x14ac:dyDescent="0.3">
      <c r="A18" s="6"/>
      <c r="B18" s="1" t="s">
        <v>27</v>
      </c>
      <c r="C18" s="100"/>
      <c r="D18" s="101"/>
      <c r="E18" s="127">
        <f>1500+800</f>
        <v>2300</v>
      </c>
      <c r="F18" s="128"/>
      <c r="G18" s="143">
        <f>1500+800</f>
        <v>2300</v>
      </c>
      <c r="H18" s="144"/>
      <c r="I18" s="157">
        <f t="shared" si="1"/>
        <v>100</v>
      </c>
      <c r="J18" s="149">
        <f t="shared" si="0"/>
        <v>0</v>
      </c>
      <c r="K18" s="12"/>
      <c r="L18" s="75"/>
    </row>
    <row r="19" spans="1:16" ht="21.95" customHeight="1" x14ac:dyDescent="0.35">
      <c r="A19" s="6"/>
      <c r="B19" s="1" t="s">
        <v>28</v>
      </c>
      <c r="C19" s="100"/>
      <c r="D19" s="101"/>
      <c r="E19" s="127">
        <f>15900+20000+8000</f>
        <v>43900</v>
      </c>
      <c r="F19" s="128"/>
      <c r="G19" s="79">
        <f>9807.97+5073.52+19849.73</f>
        <v>34731.22</v>
      </c>
      <c r="H19" s="80"/>
      <c r="I19" s="157">
        <f t="shared" si="1"/>
        <v>79.11439635535308</v>
      </c>
      <c r="J19" s="149">
        <f t="shared" si="0"/>
        <v>9168.7799999999988</v>
      </c>
      <c r="K19" s="3"/>
      <c r="M19" s="31"/>
    </row>
    <row r="20" spans="1:16" ht="21.95" customHeight="1" x14ac:dyDescent="0.3">
      <c r="A20" s="6"/>
      <c r="B20" s="1" t="s">
        <v>29</v>
      </c>
      <c r="C20" s="100"/>
      <c r="D20" s="101"/>
      <c r="E20" s="127">
        <f>348500-30000-20000-20000+174300</f>
        <v>452800</v>
      </c>
      <c r="F20" s="128"/>
      <c r="G20" s="141">
        <f>50000+50000+62000+49000+49000+18500+80000</f>
        <v>358500</v>
      </c>
      <c r="H20" s="142"/>
      <c r="I20" s="157">
        <f>G20*100/E20</f>
        <v>79.17402826855124</v>
      </c>
      <c r="J20" s="149">
        <f>E20-G20</f>
        <v>94300</v>
      </c>
      <c r="K20" s="147"/>
      <c r="M20" s="33"/>
    </row>
    <row r="21" spans="1:16" ht="21.95" customHeight="1" x14ac:dyDescent="0.3">
      <c r="A21" s="6"/>
      <c r="B21" s="1" t="s">
        <v>30</v>
      </c>
      <c r="C21" s="102"/>
      <c r="D21" s="102"/>
      <c r="E21" s="135">
        <f>60000</f>
        <v>60000</v>
      </c>
      <c r="F21" s="136"/>
      <c r="G21" s="143">
        <f>20000+10000+10000+10000+10000</f>
        <v>60000</v>
      </c>
      <c r="H21" s="144"/>
      <c r="I21" s="157">
        <f t="shared" si="1"/>
        <v>100</v>
      </c>
      <c r="J21" s="149">
        <f t="shared" si="0"/>
        <v>0</v>
      </c>
      <c r="K21" s="12"/>
      <c r="M21" s="13"/>
    </row>
    <row r="22" spans="1:16" ht="21" customHeight="1" x14ac:dyDescent="0.35">
      <c r="A22" s="38">
        <v>2</v>
      </c>
      <c r="B22" s="39" t="s">
        <v>37</v>
      </c>
      <c r="C22" s="106" t="s">
        <v>10</v>
      </c>
      <c r="D22" s="106"/>
      <c r="E22" s="107"/>
      <c r="F22" s="108"/>
      <c r="G22" s="109"/>
      <c r="H22" s="110"/>
      <c r="I22" s="158"/>
      <c r="J22" s="150"/>
      <c r="K22" s="40" t="s">
        <v>32</v>
      </c>
      <c r="M22" s="15"/>
      <c r="P22" s="14">
        <f>M22/2</f>
        <v>0</v>
      </c>
    </row>
    <row r="23" spans="1:16" ht="23.25" customHeight="1" x14ac:dyDescent="0.35">
      <c r="A23" s="41"/>
      <c r="B23" s="42" t="s">
        <v>38</v>
      </c>
      <c r="C23" s="43"/>
      <c r="D23" s="44"/>
      <c r="E23" s="45"/>
      <c r="F23" s="46"/>
      <c r="G23" s="47"/>
      <c r="H23" s="48"/>
      <c r="I23" s="159"/>
      <c r="J23" s="151"/>
      <c r="K23" s="49"/>
      <c r="M23" s="15"/>
      <c r="P23" s="14"/>
    </row>
    <row r="24" spans="1:16" ht="21" customHeight="1" x14ac:dyDescent="0.3">
      <c r="A24" s="6"/>
      <c r="B24" s="1" t="s">
        <v>62</v>
      </c>
      <c r="C24" s="102" t="s">
        <v>36</v>
      </c>
      <c r="D24" s="102"/>
      <c r="E24" s="129">
        <f>9900+5000</f>
        <v>14900</v>
      </c>
      <c r="F24" s="130"/>
      <c r="G24" s="79">
        <f>9900+5000</f>
        <v>14900</v>
      </c>
      <c r="H24" s="80"/>
      <c r="I24" s="160">
        <f>G24*100/E24</f>
        <v>100</v>
      </c>
      <c r="J24" s="148">
        <f>E24-G24</f>
        <v>0</v>
      </c>
      <c r="K24" s="12"/>
      <c r="L24" s="75"/>
    </row>
    <row r="25" spans="1:16" ht="23.1" customHeight="1" x14ac:dyDescent="0.35">
      <c r="A25" s="6"/>
      <c r="B25" s="2" t="s">
        <v>51</v>
      </c>
      <c r="C25" s="102" t="s">
        <v>35</v>
      </c>
      <c r="D25" s="102"/>
      <c r="E25" s="131">
        <f>13200+6600</f>
        <v>19800</v>
      </c>
      <c r="F25" s="132"/>
      <c r="G25" s="143">
        <f>11665.23+356.85+5821.02</f>
        <v>17843.099999999999</v>
      </c>
      <c r="H25" s="144"/>
      <c r="I25" s="157">
        <f>G25*100/E25</f>
        <v>90.11666666666666</v>
      </c>
      <c r="J25" s="148">
        <f>E25-G25</f>
        <v>1956.9000000000015</v>
      </c>
      <c r="K25" s="23" t="s">
        <v>32</v>
      </c>
      <c r="M25" s="15"/>
      <c r="P25" s="14">
        <f>M25/2</f>
        <v>0</v>
      </c>
    </row>
    <row r="26" spans="1:16" ht="28.5" customHeight="1" x14ac:dyDescent="0.35">
      <c r="A26" s="34">
        <v>3</v>
      </c>
      <c r="B26" s="50" t="s">
        <v>14</v>
      </c>
      <c r="C26" s="103" t="s">
        <v>13</v>
      </c>
      <c r="D26" s="103"/>
      <c r="E26" s="104"/>
      <c r="F26" s="105"/>
      <c r="G26" s="104"/>
      <c r="H26" s="105"/>
      <c r="I26" s="161"/>
      <c r="J26" s="152"/>
      <c r="K26" s="51" t="s">
        <v>32</v>
      </c>
    </row>
    <row r="27" spans="1:16" ht="21" customHeight="1" x14ac:dyDescent="0.3">
      <c r="A27" s="6"/>
      <c r="B27" s="2" t="s">
        <v>40</v>
      </c>
      <c r="C27" s="100"/>
      <c r="D27" s="101"/>
      <c r="E27" s="135">
        <f>1000</f>
        <v>1000</v>
      </c>
      <c r="F27" s="136"/>
      <c r="G27" s="143">
        <v>1000</v>
      </c>
      <c r="H27" s="144"/>
      <c r="I27" s="157">
        <f>G27*100/E27</f>
        <v>100</v>
      </c>
      <c r="J27" s="148">
        <f>E27-G27</f>
        <v>0</v>
      </c>
      <c r="K27" s="12"/>
    </row>
    <row r="28" spans="1:16" ht="21" customHeight="1" x14ac:dyDescent="0.3">
      <c r="A28" s="6"/>
      <c r="B28" s="8" t="s">
        <v>41</v>
      </c>
      <c r="C28" s="100"/>
      <c r="D28" s="101"/>
      <c r="E28" s="135">
        <f>1140</f>
        <v>1140</v>
      </c>
      <c r="F28" s="136"/>
      <c r="G28" s="143">
        <v>1140</v>
      </c>
      <c r="H28" s="144"/>
      <c r="I28" s="157">
        <f>G28*100/E28</f>
        <v>100</v>
      </c>
      <c r="J28" s="148">
        <f>E28-G28</f>
        <v>0</v>
      </c>
      <c r="K28" s="3"/>
    </row>
    <row r="29" spans="1:16" s="16" customFormat="1" ht="37.5" x14ac:dyDescent="0.3">
      <c r="A29" s="52">
        <v>4</v>
      </c>
      <c r="B29" s="53" t="s">
        <v>15</v>
      </c>
      <c r="C29" s="97"/>
      <c r="D29" s="97"/>
      <c r="E29" s="91"/>
      <c r="F29" s="92"/>
      <c r="G29" s="98"/>
      <c r="H29" s="99"/>
      <c r="I29" s="161"/>
      <c r="J29" s="152"/>
      <c r="K29" s="54" t="s">
        <v>32</v>
      </c>
    </row>
    <row r="30" spans="1:16" s="16" customFormat="1" ht="37.5" customHeight="1" x14ac:dyDescent="0.3">
      <c r="A30" s="17"/>
      <c r="B30" s="21" t="s">
        <v>39</v>
      </c>
      <c r="C30" s="81" t="s">
        <v>11</v>
      </c>
      <c r="D30" s="81"/>
      <c r="E30" s="133">
        <f>5000+2500</f>
        <v>7500</v>
      </c>
      <c r="F30" s="134"/>
      <c r="G30" s="145">
        <f>5000+2500</f>
        <v>7500</v>
      </c>
      <c r="H30" s="146"/>
      <c r="I30" s="162">
        <f t="shared" ref="I30:I31" si="2">G30*100/E30</f>
        <v>100</v>
      </c>
      <c r="J30" s="153">
        <f t="shared" ref="J30:J31" si="3">E30-G30</f>
        <v>0</v>
      </c>
      <c r="K30" s="11"/>
    </row>
    <row r="31" spans="1:16" s="16" customFormat="1" ht="21.95" customHeight="1" x14ac:dyDescent="0.35">
      <c r="A31" s="17"/>
      <c r="B31" s="21" t="s">
        <v>55</v>
      </c>
      <c r="C31" s="81" t="s">
        <v>12</v>
      </c>
      <c r="D31" s="81"/>
      <c r="E31" s="135">
        <f>7600+3800</f>
        <v>11400</v>
      </c>
      <c r="F31" s="136"/>
      <c r="G31" s="95">
        <f>7600+3800</f>
        <v>11400</v>
      </c>
      <c r="H31" s="96"/>
      <c r="I31" s="157">
        <f t="shared" si="2"/>
        <v>100</v>
      </c>
      <c r="J31" s="149">
        <f t="shared" si="3"/>
        <v>0</v>
      </c>
      <c r="K31" s="22"/>
    </row>
    <row r="32" spans="1:16" s="16" customFormat="1" ht="45.75" customHeight="1" x14ac:dyDescent="0.35">
      <c r="A32" s="52">
        <v>5</v>
      </c>
      <c r="B32" s="53" t="s">
        <v>42</v>
      </c>
      <c r="C32" s="90" t="s">
        <v>9</v>
      </c>
      <c r="D32" s="90"/>
      <c r="E32" s="91"/>
      <c r="F32" s="92"/>
      <c r="G32" s="91"/>
      <c r="H32" s="92"/>
      <c r="I32" s="161"/>
      <c r="J32" s="152"/>
      <c r="K32" s="55" t="s">
        <v>32</v>
      </c>
    </row>
    <row r="33" spans="1:13" s="16" customFormat="1" ht="21.95" customHeight="1" x14ac:dyDescent="0.3">
      <c r="A33" s="17"/>
      <c r="B33" s="18" t="s">
        <v>53</v>
      </c>
      <c r="C33" s="81"/>
      <c r="D33" s="81"/>
      <c r="E33" s="127">
        <f>23200+10400</f>
        <v>33600</v>
      </c>
      <c r="F33" s="128"/>
      <c r="G33" s="79">
        <f>5860+5200+9300+8000</f>
        <v>28360</v>
      </c>
      <c r="H33" s="80"/>
      <c r="I33" s="157">
        <f>G33*100/E33</f>
        <v>84.404761904761898</v>
      </c>
      <c r="J33" s="149">
        <f>E33-G33</f>
        <v>5240</v>
      </c>
      <c r="K33" s="11"/>
    </row>
    <row r="34" spans="1:13" s="16" customFormat="1" ht="21.95" customHeight="1" x14ac:dyDescent="0.3">
      <c r="A34" s="17"/>
      <c r="B34" s="18" t="s">
        <v>52</v>
      </c>
      <c r="C34" s="81"/>
      <c r="D34" s="81"/>
      <c r="E34" s="127">
        <f>8000+4000</f>
        <v>12000</v>
      </c>
      <c r="F34" s="128"/>
      <c r="G34" s="79">
        <v>8000</v>
      </c>
      <c r="H34" s="80"/>
      <c r="I34" s="157">
        <f>G34*100/E34</f>
        <v>66.666666666666671</v>
      </c>
      <c r="J34" s="149">
        <f>E34-G34</f>
        <v>4000</v>
      </c>
      <c r="K34" s="11"/>
    </row>
    <row r="35" spans="1:13" s="16" customFormat="1" ht="21.95" customHeight="1" x14ac:dyDescent="0.3">
      <c r="A35" s="17"/>
      <c r="B35" s="18" t="s">
        <v>43</v>
      </c>
      <c r="C35" s="77"/>
      <c r="D35" s="78"/>
      <c r="E35" s="127">
        <f>7250+3250</f>
        <v>10500</v>
      </c>
      <c r="F35" s="128"/>
      <c r="G35" s="79">
        <f>3250+7250</f>
        <v>10500</v>
      </c>
      <c r="H35" s="80"/>
      <c r="I35" s="157">
        <f>G35*100/E35</f>
        <v>100</v>
      </c>
      <c r="J35" s="149">
        <f>E35-G35</f>
        <v>0</v>
      </c>
      <c r="K35" s="19"/>
      <c r="L35" s="76"/>
      <c r="M35" s="63"/>
    </row>
    <row r="36" spans="1:13" s="16" customFormat="1" ht="21.95" customHeight="1" x14ac:dyDescent="0.3">
      <c r="A36" s="17"/>
      <c r="B36" s="18" t="s">
        <v>54</v>
      </c>
      <c r="C36" s="77"/>
      <c r="D36" s="78"/>
      <c r="E36" s="127">
        <f>4000+2000+2000</f>
        <v>8000</v>
      </c>
      <c r="F36" s="128"/>
      <c r="G36" s="79">
        <f>3000</f>
        <v>3000</v>
      </c>
      <c r="H36" s="80"/>
      <c r="I36" s="157">
        <f>G36*100/E36</f>
        <v>37.5</v>
      </c>
      <c r="J36" s="149">
        <f>E36-G36</f>
        <v>5000</v>
      </c>
      <c r="K36" s="19"/>
    </row>
    <row r="37" spans="1:13" s="16" customFormat="1" ht="21.95" customHeight="1" x14ac:dyDescent="0.3">
      <c r="A37" s="64">
        <v>6</v>
      </c>
      <c r="B37" s="65" t="s">
        <v>61</v>
      </c>
      <c r="C37" s="93" t="s">
        <v>63</v>
      </c>
      <c r="D37" s="94"/>
      <c r="E37" s="139">
        <v>15000</v>
      </c>
      <c r="F37" s="140"/>
      <c r="G37" s="137">
        <v>15000</v>
      </c>
      <c r="H37" s="138"/>
      <c r="I37" s="163">
        <f>E37*100/G37</f>
        <v>100</v>
      </c>
      <c r="J37" s="154">
        <f>E37-G37</f>
        <v>0</v>
      </c>
      <c r="K37" s="72"/>
    </row>
    <row r="38" spans="1:13" s="16" customFormat="1" ht="21.95" customHeight="1" x14ac:dyDescent="0.3">
      <c r="A38" s="64"/>
      <c r="B38" s="65"/>
      <c r="C38" s="66"/>
      <c r="D38" s="67"/>
      <c r="E38" s="68"/>
      <c r="F38" s="69"/>
      <c r="G38" s="70"/>
      <c r="H38" s="71"/>
      <c r="I38" s="163"/>
      <c r="J38" s="154"/>
      <c r="K38" s="72"/>
    </row>
    <row r="39" spans="1:13" s="16" customFormat="1" ht="37.5" x14ac:dyDescent="0.3">
      <c r="A39" s="52">
        <v>6</v>
      </c>
      <c r="B39" s="53" t="s">
        <v>56</v>
      </c>
      <c r="C39" s="90" t="s">
        <v>8</v>
      </c>
      <c r="D39" s="90"/>
      <c r="E39" s="91"/>
      <c r="F39" s="92"/>
      <c r="G39" s="91"/>
      <c r="H39" s="92"/>
      <c r="I39" s="161"/>
      <c r="J39" s="152"/>
      <c r="K39" s="54" t="s">
        <v>32</v>
      </c>
    </row>
    <row r="40" spans="1:13" s="27" customFormat="1" ht="21.95" customHeight="1" x14ac:dyDescent="0.3">
      <c r="A40" s="24"/>
      <c r="B40" s="25" t="s">
        <v>57</v>
      </c>
      <c r="C40" s="28"/>
      <c r="D40" s="29"/>
      <c r="E40" s="127">
        <f>2800+1400</f>
        <v>4200</v>
      </c>
      <c r="F40" s="128"/>
      <c r="G40" s="79">
        <v>2800</v>
      </c>
      <c r="H40" s="80"/>
      <c r="I40" s="157">
        <f t="shared" ref="I40:I41" si="4">G40*100/E40</f>
        <v>66.666666666666671</v>
      </c>
      <c r="J40" s="149">
        <f t="shared" ref="J40:J41" si="5">E40-G40</f>
        <v>1400</v>
      </c>
      <c r="K40" s="26"/>
    </row>
    <row r="41" spans="1:13" s="27" customFormat="1" ht="21.95" customHeight="1" x14ac:dyDescent="0.3">
      <c r="A41" s="24"/>
      <c r="B41" s="25" t="s">
        <v>58</v>
      </c>
      <c r="C41" s="28"/>
      <c r="D41" s="29"/>
      <c r="E41" s="127">
        <f>5400+2700</f>
        <v>8100</v>
      </c>
      <c r="F41" s="128"/>
      <c r="G41" s="79">
        <f>5400-40</f>
        <v>5360</v>
      </c>
      <c r="H41" s="80"/>
      <c r="I41" s="157">
        <f t="shared" si="4"/>
        <v>66.172839506172835</v>
      </c>
      <c r="J41" s="149">
        <f t="shared" si="5"/>
        <v>2740</v>
      </c>
      <c r="K41" s="26"/>
    </row>
    <row r="42" spans="1:13" s="16" customFormat="1" ht="21.95" customHeight="1" x14ac:dyDescent="0.3">
      <c r="A42" s="17"/>
      <c r="B42" s="18" t="s">
        <v>59</v>
      </c>
      <c r="C42" s="81"/>
      <c r="D42" s="81"/>
      <c r="E42" s="127">
        <f>6800+3400</f>
        <v>10200</v>
      </c>
      <c r="F42" s="128"/>
      <c r="G42" s="79">
        <f>6800+3400</f>
        <v>10200</v>
      </c>
      <c r="H42" s="80"/>
      <c r="I42" s="157">
        <f>G42*100/E42</f>
        <v>100</v>
      </c>
      <c r="J42" s="149">
        <f>E42-G42</f>
        <v>0</v>
      </c>
      <c r="K42" s="11"/>
      <c r="L42" s="76"/>
      <c r="M42" s="20"/>
    </row>
    <row r="43" spans="1:13" s="16" customFormat="1" ht="42" customHeight="1" x14ac:dyDescent="0.3">
      <c r="A43" s="52">
        <v>7</v>
      </c>
      <c r="B43" s="53" t="s">
        <v>44</v>
      </c>
      <c r="C43" s="82" t="s">
        <v>64</v>
      </c>
      <c r="D43" s="83"/>
      <c r="E43" s="56"/>
      <c r="F43" s="57"/>
      <c r="G43" s="58"/>
      <c r="H43" s="59"/>
      <c r="I43" s="164"/>
      <c r="J43" s="155"/>
      <c r="K43" s="54" t="s">
        <v>32</v>
      </c>
      <c r="L43" s="76"/>
      <c r="M43" s="20"/>
    </row>
    <row r="44" spans="1:13" s="16" customFormat="1" ht="21" customHeight="1" x14ac:dyDescent="0.3">
      <c r="A44" s="17"/>
      <c r="B44" s="18" t="s">
        <v>45</v>
      </c>
      <c r="C44" s="77"/>
      <c r="D44" s="78"/>
      <c r="E44" s="127">
        <v>7500</v>
      </c>
      <c r="F44" s="128"/>
      <c r="G44" s="79">
        <v>7500</v>
      </c>
      <c r="H44" s="80"/>
      <c r="I44" s="165">
        <f>G44*100/E44</f>
        <v>100</v>
      </c>
      <c r="J44" s="156">
        <f>E44-G44</f>
        <v>0</v>
      </c>
      <c r="K44" s="19"/>
      <c r="L44" s="76"/>
      <c r="M44" s="20"/>
    </row>
    <row r="45" spans="1:13" s="16" customFormat="1" ht="21" customHeight="1" x14ac:dyDescent="0.3">
      <c r="A45" s="17"/>
      <c r="B45" s="18" t="s">
        <v>46</v>
      </c>
      <c r="C45" s="77"/>
      <c r="D45" s="78"/>
      <c r="E45" s="127">
        <f>18000</f>
        <v>18000</v>
      </c>
      <c r="F45" s="128"/>
      <c r="G45" s="79">
        <f>3600+5400+4500+4500</f>
        <v>18000</v>
      </c>
      <c r="H45" s="80"/>
      <c r="I45" s="165">
        <f>G45*100/E45</f>
        <v>100</v>
      </c>
      <c r="J45" s="156">
        <f>E45-G45</f>
        <v>0</v>
      </c>
      <c r="K45" s="19"/>
      <c r="L45" s="76"/>
      <c r="M45" s="20"/>
    </row>
    <row r="46" spans="1:13" s="16" customFormat="1" ht="21" customHeight="1" x14ac:dyDescent="0.3">
      <c r="A46" s="17"/>
      <c r="B46" s="18" t="s">
        <v>47</v>
      </c>
      <c r="C46" s="77"/>
      <c r="D46" s="78"/>
      <c r="E46" s="127">
        <f>12000</f>
        <v>12000</v>
      </c>
      <c r="F46" s="128"/>
      <c r="G46" s="79">
        <f>6000+6000</f>
        <v>12000</v>
      </c>
      <c r="H46" s="80"/>
      <c r="I46" s="165">
        <f t="shared" ref="I46" si="6">G46*100/E46</f>
        <v>100</v>
      </c>
      <c r="J46" s="156">
        <f t="shared" ref="J46:J48" si="7">E46-G46</f>
        <v>0</v>
      </c>
      <c r="K46" s="19"/>
      <c r="L46" s="76"/>
      <c r="M46" s="20"/>
    </row>
    <row r="47" spans="1:13" s="16" customFormat="1" ht="21" customHeight="1" x14ac:dyDescent="0.3">
      <c r="A47" s="17"/>
      <c r="B47" s="18" t="s">
        <v>48</v>
      </c>
      <c r="C47" s="77"/>
      <c r="D47" s="78"/>
      <c r="E47" s="127"/>
      <c r="F47" s="128"/>
      <c r="G47" s="79"/>
      <c r="H47" s="80"/>
      <c r="I47" s="165"/>
      <c r="J47" s="156">
        <f t="shared" si="7"/>
        <v>0</v>
      </c>
      <c r="K47" s="19"/>
      <c r="L47" s="76"/>
      <c r="M47" s="20"/>
    </row>
    <row r="48" spans="1:13" s="16" customFormat="1" ht="21" customHeight="1" x14ac:dyDescent="0.3">
      <c r="A48" s="17"/>
      <c r="B48" s="18" t="s">
        <v>49</v>
      </c>
      <c r="C48" s="77"/>
      <c r="D48" s="78"/>
      <c r="E48" s="127"/>
      <c r="F48" s="128"/>
      <c r="G48" s="79"/>
      <c r="H48" s="80"/>
      <c r="I48" s="165"/>
      <c r="J48" s="156">
        <f t="shared" si="7"/>
        <v>0</v>
      </c>
      <c r="K48" s="19"/>
      <c r="L48" s="76"/>
      <c r="M48" s="20"/>
    </row>
    <row r="49" spans="1:11" s="16" customFormat="1" ht="21" customHeight="1" x14ac:dyDescent="0.3">
      <c r="A49" s="17"/>
      <c r="B49" s="18"/>
      <c r="C49" s="77"/>
      <c r="D49" s="78"/>
      <c r="E49" s="127"/>
      <c r="F49" s="128"/>
      <c r="G49" s="84"/>
      <c r="H49" s="85"/>
      <c r="I49" s="162"/>
      <c r="J49" s="153"/>
      <c r="K49" s="19"/>
    </row>
    <row r="50" spans="1:11" ht="24.95" customHeight="1" x14ac:dyDescent="0.3">
      <c r="A50" s="86" t="s">
        <v>0</v>
      </c>
      <c r="B50" s="86"/>
      <c r="C50" s="86"/>
      <c r="D50" s="86"/>
      <c r="E50" s="87">
        <f>SUM(E7:F49)</f>
        <v>1294540</v>
      </c>
      <c r="F50" s="88"/>
      <c r="G50" s="87">
        <f>SUM(G7:H49)</f>
        <v>976530.32</v>
      </c>
      <c r="H50" s="89"/>
      <c r="I50" s="166">
        <f>G50*100/E50</f>
        <v>75.434541999474717</v>
      </c>
      <c r="J50" s="60">
        <f>SUM(J7:J49)</f>
        <v>318009.68000000005</v>
      </c>
      <c r="K50" s="61"/>
    </row>
    <row r="51" spans="1:11" ht="32.1" customHeight="1" x14ac:dyDescent="0.25"/>
    <row r="52" spans="1:11" ht="32.1" customHeight="1" x14ac:dyDescent="0.25"/>
    <row r="53" spans="1:11" ht="32.1" customHeight="1" x14ac:dyDescent="0.35">
      <c r="B53" s="167" t="s">
        <v>66</v>
      </c>
      <c r="C53" s="167" t="s">
        <v>69</v>
      </c>
      <c r="D53" s="168"/>
      <c r="E53" s="169"/>
      <c r="F53" s="167" t="s">
        <v>70</v>
      </c>
      <c r="G53" s="169"/>
      <c r="H53" s="169"/>
      <c r="I53" s="170" t="s">
        <v>73</v>
      </c>
      <c r="J53" s="171"/>
    </row>
    <row r="54" spans="1:11" ht="32.1" customHeight="1" x14ac:dyDescent="0.35">
      <c r="B54" s="172" t="s">
        <v>67</v>
      </c>
      <c r="C54" s="169"/>
      <c r="D54" s="168"/>
      <c r="E54" s="169"/>
      <c r="F54" s="173" t="s">
        <v>71</v>
      </c>
      <c r="G54" s="173"/>
      <c r="H54" s="173"/>
      <c r="I54" s="171"/>
      <c r="J54" s="171"/>
    </row>
    <row r="55" spans="1:11" ht="32.1" customHeight="1" x14ac:dyDescent="0.35">
      <c r="B55" s="172" t="s">
        <v>68</v>
      </c>
      <c r="C55" s="169"/>
      <c r="D55" s="168"/>
      <c r="E55" s="169"/>
      <c r="F55" s="173" t="s">
        <v>72</v>
      </c>
      <c r="G55" s="173"/>
      <c r="H55" s="173"/>
      <c r="I55" s="171"/>
      <c r="J55" s="171"/>
    </row>
    <row r="56" spans="1:11" ht="32.1" customHeight="1" x14ac:dyDescent="0.25"/>
    <row r="57" spans="1:11" ht="32.1" customHeight="1" x14ac:dyDescent="0.25"/>
    <row r="58" spans="1:11" ht="32.1" customHeight="1" x14ac:dyDescent="0.25"/>
    <row r="59" spans="1:11" ht="32.1" customHeight="1" x14ac:dyDescent="0.25"/>
  </sheetData>
  <mergeCells count="138">
    <mergeCell ref="F54:H54"/>
    <mergeCell ref="F55:H55"/>
    <mergeCell ref="K4:K5"/>
    <mergeCell ref="C6:D6"/>
    <mergeCell ref="E6:F6"/>
    <mergeCell ref="G6:H6"/>
    <mergeCell ref="C7:D7"/>
    <mergeCell ref="E7:F7"/>
    <mergeCell ref="G7:H7"/>
    <mergeCell ref="A1:K1"/>
    <mergeCell ref="A2:K2"/>
    <mergeCell ref="A3:K3"/>
    <mergeCell ref="A4:A5"/>
    <mergeCell ref="B4:B5"/>
    <mergeCell ref="C4:D5"/>
    <mergeCell ref="E4:F5"/>
    <mergeCell ref="G4:H5"/>
    <mergeCell ref="I4:I5"/>
    <mergeCell ref="J4:J5"/>
    <mergeCell ref="C10:D10"/>
    <mergeCell ref="E10:F10"/>
    <mergeCell ref="G10:H10"/>
    <mergeCell ref="C11:D11"/>
    <mergeCell ref="E11:F11"/>
    <mergeCell ref="G11:H11"/>
    <mergeCell ref="C8:D8"/>
    <mergeCell ref="E8:F8"/>
    <mergeCell ref="G8:H8"/>
    <mergeCell ref="C9:D9"/>
    <mergeCell ref="E9:F9"/>
    <mergeCell ref="G9:H9"/>
    <mergeCell ref="C14:D14"/>
    <mergeCell ref="E14:F14"/>
    <mergeCell ref="G14:H14"/>
    <mergeCell ref="C15:D15"/>
    <mergeCell ref="E15:F15"/>
    <mergeCell ref="G15:H15"/>
    <mergeCell ref="C12:D12"/>
    <mergeCell ref="E12:F12"/>
    <mergeCell ref="G12:H12"/>
    <mergeCell ref="C13:D13"/>
    <mergeCell ref="E13:F13"/>
    <mergeCell ref="G13:H13"/>
    <mergeCell ref="C18:D18"/>
    <mergeCell ref="E18:F18"/>
    <mergeCell ref="G18:H18"/>
    <mergeCell ref="C19:D19"/>
    <mergeCell ref="E19:F19"/>
    <mergeCell ref="G19:H19"/>
    <mergeCell ref="C16:D16"/>
    <mergeCell ref="E16:F16"/>
    <mergeCell ref="G16:H16"/>
    <mergeCell ref="C17:D17"/>
    <mergeCell ref="E17:F17"/>
    <mergeCell ref="G17:H17"/>
    <mergeCell ref="C22:D22"/>
    <mergeCell ref="E22:F22"/>
    <mergeCell ref="G22:H22"/>
    <mergeCell ref="C24:D24"/>
    <mergeCell ref="E24:F24"/>
    <mergeCell ref="G24:H24"/>
    <mergeCell ref="C20:D20"/>
    <mergeCell ref="E20:F20"/>
    <mergeCell ref="G20:H20"/>
    <mergeCell ref="C21:D21"/>
    <mergeCell ref="E21:F21"/>
    <mergeCell ref="G21:H21"/>
    <mergeCell ref="C27:D27"/>
    <mergeCell ref="E27:F27"/>
    <mergeCell ref="G27:H27"/>
    <mergeCell ref="C28:D28"/>
    <mergeCell ref="E28:F28"/>
    <mergeCell ref="G28:H28"/>
    <mergeCell ref="C25:D25"/>
    <mergeCell ref="E25:F25"/>
    <mergeCell ref="G25:H25"/>
    <mergeCell ref="C26:D26"/>
    <mergeCell ref="E26:F26"/>
    <mergeCell ref="G26:H26"/>
    <mergeCell ref="C30:D30"/>
    <mergeCell ref="E30:F30"/>
    <mergeCell ref="G30:H30"/>
    <mergeCell ref="C31:D31"/>
    <mergeCell ref="E31:F31"/>
    <mergeCell ref="G31:H31"/>
    <mergeCell ref="C29:D29"/>
    <mergeCell ref="E29:F29"/>
    <mergeCell ref="G29:H29"/>
    <mergeCell ref="C33:D33"/>
    <mergeCell ref="E33:F33"/>
    <mergeCell ref="G33:H33"/>
    <mergeCell ref="C34:D34"/>
    <mergeCell ref="E34:F34"/>
    <mergeCell ref="G34:H34"/>
    <mergeCell ref="C32:D32"/>
    <mergeCell ref="E32:F32"/>
    <mergeCell ref="G32:H32"/>
    <mergeCell ref="C39:D39"/>
    <mergeCell ref="E39:F39"/>
    <mergeCell ref="G39:H39"/>
    <mergeCell ref="E40:F40"/>
    <mergeCell ref="C35:D35"/>
    <mergeCell ref="E35:F35"/>
    <mergeCell ref="G35:H35"/>
    <mergeCell ref="C36:D36"/>
    <mergeCell ref="E36:F36"/>
    <mergeCell ref="G36:H36"/>
    <mergeCell ref="G40:H40"/>
    <mergeCell ref="C37:D37"/>
    <mergeCell ref="E37:F37"/>
    <mergeCell ref="G37:H37"/>
    <mergeCell ref="C49:D49"/>
    <mergeCell ref="E49:F49"/>
    <mergeCell ref="G49:H49"/>
    <mergeCell ref="A50:D50"/>
    <mergeCell ref="E50:F50"/>
    <mergeCell ref="G50:H50"/>
    <mergeCell ref="C47:D47"/>
    <mergeCell ref="E47:F47"/>
    <mergeCell ref="G47:H47"/>
    <mergeCell ref="C48:D48"/>
    <mergeCell ref="E48:F48"/>
    <mergeCell ref="G48:H48"/>
    <mergeCell ref="G41:H41"/>
    <mergeCell ref="E41:F41"/>
    <mergeCell ref="C45:D45"/>
    <mergeCell ref="E45:F45"/>
    <mergeCell ref="G45:H45"/>
    <mergeCell ref="C46:D46"/>
    <mergeCell ref="E46:F46"/>
    <mergeCell ref="G46:H46"/>
    <mergeCell ref="C42:D42"/>
    <mergeCell ref="E42:F42"/>
    <mergeCell ref="G42:H42"/>
    <mergeCell ref="C43:D43"/>
    <mergeCell ref="C44:D44"/>
    <mergeCell ref="E44:F44"/>
    <mergeCell ref="G44:H44"/>
  </mergeCells>
  <phoneticPr fontId="8" type="noConversion"/>
  <pageMargins left="0.51181102362204722" right="0.19685039370078741" top="0.47244094488188981" bottom="0.35433070866141736" header="0.27559055118110237" footer="0.19685039370078741"/>
  <pageSetup paperSize="9" scale="80" orientation="landscape" r:id="rId1"/>
  <headerFooter>
    <oddHeader>&amp;C&amp;P</oddHeader>
  </headerFooter>
  <ignoredErrors>
    <ignoredError sqref="J4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 ผลใช้จ่ายงบ ต.ค.68- มี.ค.69</vt:lpstr>
      <vt:lpstr>' ผลใช้จ่ายงบ ต.ค.68- มี.ค.69'!Print_Titles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technicAL</cp:lastModifiedBy>
  <cp:lastPrinted>2025-07-22T03:56:28Z</cp:lastPrinted>
  <dcterms:created xsi:type="dcterms:W3CDTF">2024-01-10T07:59:11Z</dcterms:created>
  <dcterms:modified xsi:type="dcterms:W3CDTF">2026-07-09T05:42:19Z</dcterms:modified>
</cp:coreProperties>
</file>